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HGSA Clinical Services Framework\CGS Framework\Workforce Estimates\WISN\"/>
    </mc:Choice>
  </mc:AlternateContent>
  <xr:revisionPtr revIDLastSave="0" documentId="13_ncr:1_{6A0E9E77-DAD2-44DE-A350-0B9075648593}" xr6:coauthVersionLast="47" xr6:coauthVersionMax="47" xr10:uidLastSave="{00000000-0000-0000-0000-000000000000}"/>
  <bookViews>
    <workbookView xWindow="-110" yWindow="-110" windowWidth="19420" windowHeight="11500" xr2:uid="{D877A14B-9FA9-49CD-9454-5E9CE1926880}"/>
  </bookViews>
  <sheets>
    <sheet name="DASHBOARD" sheetId="10" r:id="rId1"/>
    <sheet name="DATA INPUTS" sheetId="8" r:id="rId2"/>
    <sheet name="AVAILABLE WORKING TIME" sheetId="1" r:id="rId3"/>
    <sheet name="Service Activity Standards" sheetId="2" r:id="rId4"/>
    <sheet name="Category Allowance Standards" sheetId="3" r:id="rId5"/>
    <sheet name="Individual Allowance Standards" sheetId="4" r:id="rId6"/>
    <sheet name="Standard Workloads" sheetId="5" r:id="rId7"/>
    <sheet name="CG Staff Requirements" sheetId="6" r:id="rId8"/>
    <sheet name="GC Staff Requirements" sheetId="9" r:id="rId9"/>
    <sheet name="Admin Staff Requirements" sheetId="7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5" l="1"/>
  <c r="B10" i="5"/>
  <c r="C8" i="5"/>
  <c r="B8" i="5"/>
  <c r="C7" i="5"/>
  <c r="C9" i="5" s="1"/>
  <c r="C11" i="5" s="1"/>
  <c r="B7" i="5"/>
  <c r="C4" i="5"/>
  <c r="B4" i="5"/>
  <c r="C3" i="8"/>
  <c r="B3" i="8"/>
  <c r="B9" i="5" l="1"/>
  <c r="B11" i="5" s="1"/>
  <c r="B14" i="1" l="1"/>
  <c r="B11" i="1"/>
  <c r="B15" i="1" s="1"/>
  <c r="A6" i="10" l="1"/>
  <c r="A5" i="10"/>
  <c r="A4" i="10"/>
  <c r="A3" i="10"/>
  <c r="A2" i="10"/>
  <c r="B2" i="10"/>
  <c r="B4" i="9" l="1"/>
  <c r="B4" i="6"/>
  <c r="C4" i="3"/>
  <c r="C4" i="2"/>
  <c r="B4" i="2"/>
  <c r="B4" i="3" l="1"/>
  <c r="B5" i="3" s="1"/>
  <c r="B6" i="3" s="1"/>
  <c r="B7" i="3" s="1"/>
  <c r="B4" i="4"/>
  <c r="C5" i="3"/>
  <c r="C6" i="3" s="1"/>
  <c r="C7" i="3" s="1"/>
  <c r="C4" i="4" l="1"/>
  <c r="B5" i="9" l="1"/>
  <c r="B8" i="9" s="1"/>
  <c r="B11" i="9" s="1"/>
  <c r="B13" i="9" s="1"/>
  <c r="B5" i="6"/>
  <c r="B8" i="6" s="1"/>
  <c r="B11" i="6" s="1"/>
  <c r="B13" i="6" s="1"/>
  <c r="B8" i="7" s="1"/>
  <c r="B3" i="10" l="1"/>
  <c r="B3" i="7"/>
  <c r="B4" i="7" s="1"/>
  <c r="B4" i="10"/>
  <c r="B6" i="7"/>
  <c r="B10" i="7" l="1"/>
  <c r="B5" i="10" s="1"/>
  <c r="B12" i="7" l="1"/>
  <c r="B6" i="10" s="1"/>
</calcChain>
</file>

<file path=xl/sharedStrings.xml><?xml version="1.0" encoding="utf-8"?>
<sst xmlns="http://schemas.openxmlformats.org/spreadsheetml/2006/main" count="98" uniqueCount="78">
  <si>
    <t>Working weeks per year</t>
  </si>
  <si>
    <t>Working days per week</t>
  </si>
  <si>
    <t>Possible working days per year</t>
  </si>
  <si>
    <t>Available working days per year</t>
  </si>
  <si>
    <t>Available working hours per day</t>
  </si>
  <si>
    <t>Available working days per week</t>
  </si>
  <si>
    <t>Available working hours per week</t>
  </si>
  <si>
    <t>Long Service Leave (days accrued per year)</t>
  </si>
  <si>
    <t>GC</t>
  </si>
  <si>
    <t>CG</t>
  </si>
  <si>
    <t>CAS total % working time*</t>
  </si>
  <si>
    <t>AWT / Unit time (hours)</t>
  </si>
  <si>
    <t>CAS/100</t>
  </si>
  <si>
    <t>1-(CAS/100)</t>
  </si>
  <si>
    <t>CAF</t>
  </si>
  <si>
    <t>*how many FTE/what proportion of time is/are needed to cover the time commitment of certain cadre members 
to additional activities</t>
  </si>
  <si>
    <t>IAF (IAS/AWT)</t>
  </si>
  <si>
    <t>Available working hours per year (AWT)</t>
  </si>
  <si>
    <t>Health Service Activities</t>
  </si>
  <si>
    <t>Annual Workload</t>
  </si>
  <si>
    <t>Referrals GC</t>
  </si>
  <si>
    <t>Referrals CG</t>
  </si>
  <si>
    <t>Standard Workloads (per year)</t>
  </si>
  <si>
    <t>Support Activities</t>
  </si>
  <si>
    <t>Additional Activities</t>
  </si>
  <si>
    <t>FTE Admin needed</t>
  </si>
  <si>
    <t>GC Additional Admin FTE needed</t>
  </si>
  <si>
    <t>CG Additional Admin FTE needed</t>
  </si>
  <si>
    <t>Clinical Activities</t>
  </si>
  <si>
    <t>GC FTE needed</t>
  </si>
  <si>
    <t>CG FTE needed</t>
  </si>
  <si>
    <t>GC FTE</t>
  </si>
  <si>
    <t>CG FTE</t>
  </si>
  <si>
    <t>Total Clinical FTE</t>
  </si>
  <si>
    <t>FTE Admin:Clinical
(admin per clinical staff member)</t>
  </si>
  <si>
    <t>Clinical staff requirements</t>
  </si>
  <si>
    <t>Administrative Staff requirements</t>
  </si>
  <si>
    <t>Proportion of referrals</t>
  </si>
  <si>
    <t>Projected referrals PY</t>
  </si>
  <si>
    <t>Health Service Activity Standards</t>
  </si>
  <si>
    <t>Category Allowance Standards</t>
  </si>
  <si>
    <t>Individual Allowance Standards/Factor</t>
  </si>
  <si>
    <t>Subtotal GC FTE needed</t>
  </si>
  <si>
    <t>Subtotal CG FTE needed</t>
  </si>
  <si>
    <t>Additional GC FTE needed</t>
  </si>
  <si>
    <t>Additional CG FTE needed</t>
  </si>
  <si>
    <t>GC time on Admin (per FTE)</t>
  </si>
  <si>
    <t>CG time on Admin (per FTE)</t>
  </si>
  <si>
    <t>EST REFERRALS PER YEAR PER POP'N:</t>
  </si>
  <si>
    <t>CAS total % working time</t>
  </si>
  <si>
    <t>Admin FTE</t>
  </si>
  <si>
    <t>Admin:Clinical FTE</t>
  </si>
  <si>
    <t>GC IAF</t>
  </si>
  <si>
    <t>CG IAF</t>
  </si>
  <si>
    <t>Available Working Time</t>
  </si>
  <si>
    <t>*total time (hours) of clinical activity per patient referral including all prep and follow-up</t>
  </si>
  <si>
    <t>Unit time (hours per patient)*</t>
  </si>
  <si>
    <t>Referrals per year per FTE</t>
  </si>
  <si>
    <t>Proportion of time spent on clinical activity</t>
  </si>
  <si>
    <t>SUMMARY</t>
  </si>
  <si>
    <t>*total proportion working time spent on support activities done by ALL members of the staff cadre</t>
  </si>
  <si>
    <t>*before accounting for Support Activities and Additional Activities</t>
  </si>
  <si>
    <t>Public Holidays per year</t>
  </si>
  <si>
    <t>Annual Leave in days per year (4 weeks=20 days)</t>
  </si>
  <si>
    <t>*AUS national average 12 days per year</t>
  </si>
  <si>
    <t>*AUS national average 5.14 days per year</t>
  </si>
  <si>
    <t>Other Leave (in days per year)</t>
  </si>
  <si>
    <t>Sick/Personal Leave in days per year (2 weeks=10 days)</t>
  </si>
  <si>
    <t>*other leave to which staff are entitled</t>
  </si>
  <si>
    <t>GREY cells are populated by formula or from fixed values, only change with extreme caution.</t>
  </si>
  <si>
    <t>GREEN cells in the DATA INPUTS and AVAILABLE WORKING TIME worksheets can be populated with local/service data for more specific estimates.</t>
  </si>
  <si>
    <t>Unit time (time per clinical activity)
in hours per patient*</t>
  </si>
  <si>
    <t>Service Activity Standard (SAS)
average proportion of time spent on clinical activities</t>
  </si>
  <si>
    <t>Clinical Capacity</t>
  </si>
  <si>
    <t>Available working hours (AWT) in hours per year</t>
  </si>
  <si>
    <t>AWT*proportion clinical hours</t>
  </si>
  <si>
    <t>Divided by hours per referral (4.4)</t>
  </si>
  <si>
    <t>Referral capacity per working weeks (46 weeks per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</si>
</sst>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0.00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5" fillId="0" borderId="0" applyNumberFormat="0" applyFill="0" applyBorder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14" applyNumberFormat="0" applyAlignment="0" applyProtection="0"/>
    <xf numFmtId="0" fontId="13" fillId="7" borderId="15" applyNumberFormat="0" applyAlignment="0" applyProtection="0"/>
    <xf numFmtId="0" fontId="14" fillId="7" borderId="14" applyNumberFormat="0" applyAlignment="0" applyProtection="0"/>
    <xf numFmtId="0" fontId="15" fillId="0" borderId="16" applyNumberFormat="0" applyFill="0" applyAlignment="0" applyProtection="0"/>
    <xf numFmtId="0" fontId="16" fillId="8" borderId="17" applyNumberFormat="0" applyAlignment="0" applyProtection="0"/>
    <xf numFmtId="0" fontId="17" fillId="0" borderId="0" applyNumberFormat="0" applyFill="0" applyBorder="0" applyAlignment="0" applyProtection="0"/>
    <xf numFmtId="0" fontId="4" fillId="9" borderId="18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9" fontId="4" fillId="0" borderId="0" applyFont="0" applyFill="0" applyBorder="0" applyAlignment="0" applyProtection="0"/>
    <xf numFmtId="0" fontId="20" fillId="0" borderId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/>
    <xf numFmtId="0" fontId="3" fillId="0" borderId="4" xfId="0" applyFont="1" applyBorder="1"/>
    <xf numFmtId="0" fontId="1" fillId="0" borderId="9" xfId="0" applyFont="1" applyBorder="1" applyAlignment="1">
      <alignment vertical="center" wrapText="1"/>
    </xf>
    <xf numFmtId="0" fontId="0" fillId="0" borderId="10" xfId="0" applyBorder="1"/>
    <xf numFmtId="0" fontId="0" fillId="0" borderId="0" xfId="0" applyAlignment="1">
      <alignment wrapText="1"/>
    </xf>
    <xf numFmtId="0" fontId="0" fillId="0" borderId="3" xfId="0" applyBorder="1" applyAlignment="1">
      <alignment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20" xfId="0" applyBorder="1" applyAlignment="1">
      <alignment wrapText="1"/>
    </xf>
    <xf numFmtId="0" fontId="0" fillId="0" borderId="4" xfId="0" applyBorder="1"/>
    <xf numFmtId="1" fontId="0" fillId="0" borderId="7" xfId="0" applyNumberFormat="1" applyBorder="1"/>
    <xf numFmtId="0" fontId="2" fillId="0" borderId="0" xfId="0" applyFont="1"/>
    <xf numFmtId="164" fontId="1" fillId="0" borderId="0" xfId="0" applyNumberFormat="1" applyFo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2" borderId="7" xfId="0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0" fillId="2" borderId="21" xfId="0" applyFill="1" applyBorder="1" applyAlignment="1">
      <alignment wrapText="1"/>
    </xf>
    <xf numFmtId="2" fontId="0" fillId="0" borderId="0" xfId="0" applyNumberFormat="1" applyAlignment="1">
      <alignment wrapText="1"/>
    </xf>
    <xf numFmtId="2" fontId="0" fillId="35" borderId="5" xfId="0" applyNumberFormat="1" applyFill="1" applyBorder="1" applyAlignment="1">
      <alignment wrapText="1"/>
    </xf>
    <xf numFmtId="2" fontId="0" fillId="35" borderId="8" xfId="0" applyNumberFormat="1" applyFill="1" applyBorder="1" applyAlignment="1">
      <alignment wrapText="1"/>
    </xf>
    <xf numFmtId="0" fontId="1" fillId="0" borderId="20" xfId="0" applyFont="1" applyBorder="1"/>
    <xf numFmtId="0" fontId="3" fillId="0" borderId="1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35" borderId="7" xfId="0" applyFill="1" applyBorder="1" applyAlignment="1">
      <alignment wrapText="1"/>
    </xf>
    <xf numFmtId="0" fontId="0" fillId="35" borderId="8" xfId="0" applyFill="1" applyBorder="1" applyAlignment="1">
      <alignment wrapText="1"/>
    </xf>
    <xf numFmtId="0" fontId="0" fillId="2" borderId="3" xfId="0" applyFill="1" applyBorder="1" applyAlignment="1">
      <alignment wrapText="1"/>
    </xf>
    <xf numFmtId="165" fontId="0" fillId="0" borderId="0" xfId="46" applyNumberFormat="1" applyFont="1"/>
    <xf numFmtId="0" fontId="1" fillId="0" borderId="1" xfId="0" applyFont="1" applyBorder="1"/>
    <xf numFmtId="0" fontId="0" fillId="0" borderId="0" xfId="0" applyAlignment="1">
      <alignment horizontal="right"/>
    </xf>
    <xf numFmtId="0" fontId="1" fillId="0" borderId="3" xfId="0" applyFont="1" applyBorder="1" applyAlignment="1">
      <alignment wrapText="1"/>
    </xf>
    <xf numFmtId="1" fontId="0" fillId="36" borderId="5" xfId="0" applyNumberFormat="1" applyFill="1" applyBorder="1" applyAlignment="1">
      <alignment vertical="center" wrapText="1"/>
    </xf>
    <xf numFmtId="0" fontId="0" fillId="36" borderId="5" xfId="0" applyFill="1" applyBorder="1" applyAlignment="1">
      <alignment vertical="center" wrapText="1"/>
    </xf>
    <xf numFmtId="1" fontId="0" fillId="36" borderId="8" xfId="0" applyNumberFormat="1" applyFill="1" applyBorder="1" applyAlignment="1">
      <alignment vertical="center" wrapText="1"/>
    </xf>
    <xf numFmtId="0" fontId="0" fillId="36" borderId="3" xfId="0" applyFill="1" applyBorder="1" applyAlignment="1">
      <alignment vertical="center" wrapText="1"/>
    </xf>
    <xf numFmtId="0" fontId="0" fillId="36" borderId="8" xfId="0" applyFill="1" applyBorder="1" applyAlignment="1">
      <alignment vertical="center" wrapText="1"/>
    </xf>
    <xf numFmtId="0" fontId="0" fillId="0" borderId="1" xfId="0" applyBorder="1" applyAlignment="1">
      <alignment wrapText="1"/>
    </xf>
    <xf numFmtId="164" fontId="0" fillId="36" borderId="7" xfId="0" applyNumberFormat="1" applyFill="1" applyBorder="1"/>
    <xf numFmtId="164" fontId="0" fillId="36" borderId="8" xfId="0" applyNumberFormat="1" applyFill="1" applyBorder="1"/>
    <xf numFmtId="164" fontId="0" fillId="36" borderId="0" xfId="0" applyNumberFormat="1" applyFill="1"/>
    <xf numFmtId="164" fontId="0" fillId="36" borderId="5" xfId="0" applyNumberFormat="1" applyFill="1" applyBorder="1"/>
    <xf numFmtId="2" fontId="0" fillId="36" borderId="0" xfId="0" applyNumberFormat="1" applyFill="1"/>
    <xf numFmtId="0" fontId="0" fillId="36" borderId="5" xfId="0" applyFill="1" applyBorder="1"/>
    <xf numFmtId="2" fontId="0" fillId="36" borderId="7" xfId="0" applyNumberFormat="1" applyFill="1" applyBorder="1"/>
    <xf numFmtId="2" fontId="0" fillId="36" borderId="8" xfId="0" applyNumberFormat="1" applyFill="1" applyBorder="1"/>
    <xf numFmtId="0" fontId="0" fillId="0" borderId="2" xfId="0" applyBorder="1" applyAlignment="1">
      <alignment vertical="center" wrapText="1"/>
    </xf>
    <xf numFmtId="1" fontId="0" fillId="0" borderId="8" xfId="0" applyNumberFormat="1" applyBorder="1"/>
    <xf numFmtId="1" fontId="0" fillId="36" borderId="10" xfId="0" applyNumberFormat="1" applyFill="1" applyBorder="1"/>
    <xf numFmtId="2" fontId="0" fillId="0" borderId="10" xfId="0" applyNumberFormat="1" applyBorder="1"/>
    <xf numFmtId="2" fontId="0" fillId="35" borderId="10" xfId="0" applyNumberFormat="1" applyFill="1" applyBorder="1"/>
    <xf numFmtId="2" fontId="0" fillId="36" borderId="10" xfId="0" applyNumberFormat="1" applyFill="1" applyBorder="1"/>
    <xf numFmtId="164" fontId="0" fillId="0" borderId="10" xfId="0" applyNumberFormat="1" applyBorder="1"/>
    <xf numFmtId="0" fontId="2" fillId="0" borderId="20" xfId="0" applyFont="1" applyBorder="1"/>
    <xf numFmtId="0" fontId="0" fillId="0" borderId="20" xfId="0" applyBorder="1"/>
    <xf numFmtId="164" fontId="0" fillId="36" borderId="9" xfId="0" applyNumberFormat="1" applyFill="1" applyBorder="1"/>
    <xf numFmtId="164" fontId="0" fillId="36" borderId="10" xfId="0" applyNumberFormat="1" applyFill="1" applyBorder="1"/>
    <xf numFmtId="164" fontId="1" fillId="36" borderId="22" xfId="0" applyNumberFormat="1" applyFont="1" applyFill="1" applyBorder="1"/>
    <xf numFmtId="2" fontId="0" fillId="36" borderId="21" xfId="0" applyNumberFormat="1" applyFill="1" applyBorder="1"/>
    <xf numFmtId="164" fontId="1" fillId="36" borderId="5" xfId="0" applyNumberFormat="1" applyFont="1" applyFill="1" applyBorder="1" applyAlignment="1">
      <alignment horizontal="right"/>
    </xf>
    <xf numFmtId="0" fontId="3" fillId="0" borderId="6" xfId="0" applyFont="1" applyBorder="1"/>
    <xf numFmtId="2" fontId="3" fillId="36" borderId="8" xfId="0" applyNumberFormat="1" applyFont="1" applyFill="1" applyBorder="1" applyAlignment="1">
      <alignment horizontal="right"/>
    </xf>
    <xf numFmtId="165" fontId="1" fillId="36" borderId="3" xfId="46" applyNumberFormat="1" applyFont="1" applyFill="1" applyBorder="1" applyAlignment="1"/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34" borderId="6" xfId="0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36" borderId="0" xfId="0" applyFill="1"/>
    <xf numFmtId="0" fontId="0" fillId="34" borderId="0" xfId="0" applyFill="1"/>
    <xf numFmtId="0" fontId="1" fillId="36" borderId="0" xfId="0" applyFont="1" applyFill="1"/>
    <xf numFmtId="0" fontId="1" fillId="34" borderId="0" xfId="0" applyFont="1" applyFill="1"/>
    <xf numFmtId="166" fontId="1" fillId="35" borderId="21" xfId="0" applyNumberFormat="1" applyFont="1" applyFill="1" applyBorder="1" applyAlignment="1">
      <alignment wrapText="1"/>
    </xf>
    <xf numFmtId="1" fontId="1" fillId="34" borderId="8" xfId="0" applyNumberFormat="1" applyFont="1" applyFill="1" applyBorder="1" applyAlignment="1" applyProtection="1">
      <alignment wrapText="1"/>
      <protection locked="0"/>
    </xf>
    <xf numFmtId="1" fontId="0" fillId="34" borderId="3" xfId="0" applyNumberFormat="1" applyFill="1" applyBorder="1" applyAlignment="1" applyProtection="1">
      <alignment vertical="center" wrapText="1"/>
      <protection locked="0"/>
    </xf>
    <xf numFmtId="0" fontId="0" fillId="34" borderId="5" xfId="0" applyFill="1" applyBorder="1" applyAlignment="1" applyProtection="1">
      <alignment vertical="center" wrapText="1"/>
      <protection locked="0"/>
    </xf>
    <xf numFmtId="2" fontId="0" fillId="34" borderId="5" xfId="0" applyNumberFormat="1" applyFill="1" applyBorder="1" applyAlignment="1" applyProtection="1">
      <alignment vertical="center" wrapText="1"/>
      <protection locked="0"/>
    </xf>
    <xf numFmtId="1" fontId="0" fillId="34" borderId="8" xfId="0" applyNumberFormat="1" applyFill="1" applyBorder="1" applyAlignment="1" applyProtection="1">
      <alignment vertical="center" wrapText="1"/>
      <protection locked="0"/>
    </xf>
    <xf numFmtId="0" fontId="0" fillId="0" borderId="4" xfId="0" applyBorder="1" applyAlignment="1">
      <alignment wrapText="1"/>
    </xf>
    <xf numFmtId="164" fontId="0" fillId="35" borderId="0" xfId="0" applyNumberFormat="1" applyFill="1" applyAlignment="1">
      <alignment wrapText="1"/>
    </xf>
    <xf numFmtId="164" fontId="0" fillId="35" borderId="5" xfId="0" applyNumberFormat="1" applyFill="1" applyBorder="1" applyAlignment="1">
      <alignment wrapText="1"/>
    </xf>
    <xf numFmtId="2" fontId="0" fillId="35" borderId="7" xfId="0" applyNumberFormat="1" applyFill="1" applyBorder="1" applyAlignment="1">
      <alignment wrapText="1"/>
    </xf>
    <xf numFmtId="2" fontId="1" fillId="0" borderId="2" xfId="0" applyNumberFormat="1" applyFont="1" applyBorder="1"/>
    <xf numFmtId="2" fontId="1" fillId="0" borderId="3" xfId="0" applyNumberFormat="1" applyFont="1" applyBorder="1"/>
    <xf numFmtId="1" fontId="0" fillId="0" borderId="0" xfId="0" applyNumberFormat="1" applyBorder="1"/>
    <xf numFmtId="1" fontId="0" fillId="0" borderId="5" xfId="0" applyNumberFormat="1" applyBorder="1"/>
    <xf numFmtId="2" fontId="0" fillId="0" borderId="0" xfId="0" applyNumberFormat="1" applyBorder="1"/>
    <xf numFmtId="2" fontId="0" fillId="0" borderId="5" xfId="0" applyNumberFormat="1" applyBorder="1"/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6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45" xr:uid="{68F582A1-54A7-45AF-A7C7-5D09B1931995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956D1153-5FEC-49D5-8F0A-452C0D9D7C73}"/>
    <cellStyle name="Normal 3" xfId="44" xr:uid="{BDA857D5-399C-4802-9889-0B071BFC2228}"/>
    <cellStyle name="Note" xfId="15" builtinId="10" customBuiltin="1"/>
    <cellStyle name="Output" xfId="10" builtinId="21" customBuiltin="1"/>
    <cellStyle name="Percent 2" xfId="42" xr:uid="{4505970E-E48D-44E3-9511-6E67EE2B20C8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Shared%20drives\HGSA%20Clinical%20Services%20Framework\CGS%20Framework\Workforce%20Estimates\WISN\WISN-Estimates%20-%20Final.xlsx" TargetMode="External"/><Relationship Id="rId1" Type="http://schemas.openxmlformats.org/officeDocument/2006/relationships/externalLinkPath" Target="WISN-Estimates%20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SPLAY FOR CGSF"/>
      <sheetName val="WORKFORCE GAP"/>
      <sheetName val="SURVEY DATA INPUTS"/>
      <sheetName val="Available Working Time"/>
      <sheetName val="Service Activity Standards"/>
      <sheetName val="Category Allowance Standards"/>
      <sheetName val="Individual Allowance Standards"/>
      <sheetName val="Standard Workloads"/>
      <sheetName val="CG Staff Requirements"/>
      <sheetName val="GC Staff Requirements"/>
      <sheetName val="Admin Staff Requirements"/>
    </sheetNames>
    <sheetDataSet>
      <sheetData sheetId="0" refreshError="1"/>
      <sheetData sheetId="1" refreshError="1"/>
      <sheetData sheetId="2"/>
      <sheetData sheetId="3">
        <row r="15">
          <cell r="C15">
            <v>1618.1793333333335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9DE15-5CCE-4ADA-9648-9902B3C2C3B9}">
  <dimension ref="A1:L10"/>
  <sheetViews>
    <sheetView tabSelected="1" workbookViewId="0">
      <selection activeCell="B2" sqref="B2"/>
    </sheetView>
  </sheetViews>
  <sheetFormatPr defaultRowHeight="14.5" x14ac:dyDescent="0.35"/>
  <cols>
    <col min="1" max="1" width="20.08984375" bestFit="1" customWidth="1"/>
    <col min="2" max="2" width="12.36328125" customWidth="1"/>
    <col min="3" max="10" width="8.54296875" customWidth="1"/>
    <col min="12" max="12" width="12.08984375" customWidth="1"/>
  </cols>
  <sheetData>
    <row r="1" spans="1:12" ht="15" thickBot="1" x14ac:dyDescent="0.4">
      <c r="A1" s="2" t="s">
        <v>59</v>
      </c>
      <c r="B1" s="2"/>
    </row>
    <row r="2" spans="1:12" s="35" customFormat="1" x14ac:dyDescent="0.35">
      <c r="A2" s="12" t="str">
        <f>'DATA INPUTS'!$A$12</f>
        <v>Projected referrals PY</v>
      </c>
      <c r="B2" s="69">
        <f>'DATA INPUTS'!B12</f>
        <v>264997.869772423</v>
      </c>
    </row>
    <row r="3" spans="1:12" x14ac:dyDescent="0.35">
      <c r="A3" s="17" t="str">
        <f>'CG Staff Requirements'!$A$13</f>
        <v>CG FTE</v>
      </c>
      <c r="B3" s="66">
        <f>'CG Staff Requirements'!B13</f>
        <v>583.77765055491659</v>
      </c>
    </row>
    <row r="4" spans="1:12" x14ac:dyDescent="0.35">
      <c r="A4" s="17" t="str">
        <f>'GC Staff Requirements'!$A$13</f>
        <v>GC FTE</v>
      </c>
      <c r="B4" s="66">
        <f>'GC Staff Requirements'!B13</f>
        <v>1175.438528784543</v>
      </c>
    </row>
    <row r="5" spans="1:12" x14ac:dyDescent="0.35">
      <c r="A5" s="17" t="str">
        <f>'Admin Staff Requirements'!$A$10</f>
        <v>Admin FTE</v>
      </c>
      <c r="B5" s="66">
        <f>'Admin Staff Requirements'!B10</f>
        <v>1165.3740858374701</v>
      </c>
    </row>
    <row r="6" spans="1:12" ht="15" thickBot="1" x14ac:dyDescent="0.4">
      <c r="A6" s="67" t="str">
        <f>'Admin Staff Requirements'!$A$12</f>
        <v>Admin:Clinical FTE</v>
      </c>
      <c r="B6" s="68">
        <f>'Admin Staff Requirements'!B12</f>
        <v>0.66243938608786446</v>
      </c>
    </row>
    <row r="7" spans="1:12" x14ac:dyDescent="0.35">
      <c r="B7" s="37"/>
    </row>
    <row r="9" spans="1:12" x14ac:dyDescent="0.35">
      <c r="A9" s="78" t="s">
        <v>69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1:12" x14ac:dyDescent="0.35">
      <c r="A10" s="79" t="s">
        <v>70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</row>
  </sheetData>
  <sheetProtection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2C78D-ABBA-4EF2-B64A-6A560E4F75C9}">
  <dimension ref="A1:B12"/>
  <sheetViews>
    <sheetView zoomScale="85" zoomScaleNormal="85" workbookViewId="0">
      <selection activeCell="B10" sqref="B10"/>
    </sheetView>
  </sheetViews>
  <sheetFormatPr defaultRowHeight="14.5" x14ac:dyDescent="0.35"/>
  <cols>
    <col min="1" max="1" width="31.08984375" bestFit="1" customWidth="1"/>
    <col min="2" max="2" width="6.81640625" bestFit="1" customWidth="1"/>
  </cols>
  <sheetData>
    <row r="1" spans="1:2" x14ac:dyDescent="0.35">
      <c r="A1" s="2" t="s">
        <v>36</v>
      </c>
    </row>
    <row r="2" spans="1:2" ht="15" thickBot="1" x14ac:dyDescent="0.4">
      <c r="B2" s="3"/>
    </row>
    <row r="3" spans="1:2" x14ac:dyDescent="0.35">
      <c r="A3" s="12" t="s">
        <v>33</v>
      </c>
      <c r="B3" s="62">
        <f>SUM('CG Staff Requirements'!B13+'GC Staff Requirements'!B13)</f>
        <v>1759.2161793394596</v>
      </c>
    </row>
    <row r="4" spans="1:2" x14ac:dyDescent="0.35">
      <c r="A4" s="17" t="s">
        <v>25</v>
      </c>
      <c r="B4" s="63">
        <f>B3*'DATA INPUTS'!$B$17</f>
        <v>914.79241325651901</v>
      </c>
    </row>
    <row r="5" spans="1:2" x14ac:dyDescent="0.35">
      <c r="A5" s="17"/>
      <c r="B5" s="56"/>
    </row>
    <row r="6" spans="1:2" x14ac:dyDescent="0.35">
      <c r="A6" s="7" t="s">
        <v>26</v>
      </c>
      <c r="B6" s="63">
        <f>'GC Staff Requirements'!B13*'DATA INPUTS'!$B$19</f>
        <v>195.12279577823415</v>
      </c>
    </row>
    <row r="7" spans="1:2" x14ac:dyDescent="0.35">
      <c r="A7" s="17"/>
      <c r="B7" s="59"/>
    </row>
    <row r="8" spans="1:2" x14ac:dyDescent="0.35">
      <c r="A8" s="7" t="s">
        <v>27</v>
      </c>
      <c r="B8" s="63">
        <f>'CG Staff Requirements'!B13*'DATA INPUTS'!$B$20</f>
        <v>55.458876802717079</v>
      </c>
    </row>
    <row r="9" spans="1:2" ht="15" thickBot="1" x14ac:dyDescent="0.4">
      <c r="A9" s="17"/>
      <c r="B9" s="9"/>
    </row>
    <row r="10" spans="1:2" ht="15" thickBot="1" x14ac:dyDescent="0.4">
      <c r="A10" s="60" t="s">
        <v>50</v>
      </c>
      <c r="B10" s="64">
        <f>SUM(B4,B6,B8)</f>
        <v>1165.3740858374701</v>
      </c>
    </row>
    <row r="11" spans="1:2" ht="15" thickBot="1" x14ac:dyDescent="0.4">
      <c r="A11" s="19"/>
      <c r="B11" s="20"/>
    </row>
    <row r="12" spans="1:2" ht="15" thickBot="1" x14ac:dyDescent="0.4">
      <c r="A12" s="61" t="s">
        <v>51</v>
      </c>
      <c r="B12" s="65">
        <f>B10/B3</f>
        <v>0.66243938608786446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74DFB-1C35-4052-9691-55D39DF8D2E7}">
  <dimension ref="A1:R30"/>
  <sheetViews>
    <sheetView topLeftCell="A6" zoomScaleNormal="100" zoomScaleSheetLayoutView="100" workbookViewId="0">
      <selection activeCell="C19" sqref="C19"/>
    </sheetView>
  </sheetViews>
  <sheetFormatPr defaultRowHeight="14.5" x14ac:dyDescent="0.35"/>
  <cols>
    <col min="1" max="1" width="35.81640625" bestFit="1" customWidth="1"/>
    <col min="2" max="18" width="15.54296875" style="10" customWidth="1"/>
  </cols>
  <sheetData>
    <row r="1" spans="1:18" ht="15" thickBot="1" x14ac:dyDescent="0.4"/>
    <row r="2" spans="1:18" x14ac:dyDescent="0.35">
      <c r="A2" s="30" t="s">
        <v>28</v>
      </c>
      <c r="B2" s="21" t="s">
        <v>8</v>
      </c>
      <c r="C2" s="22" t="s">
        <v>9</v>
      </c>
    </row>
    <row r="3" spans="1:18" ht="29" x14ac:dyDescent="0.35">
      <c r="A3" s="86" t="s">
        <v>71</v>
      </c>
      <c r="B3" s="87">
        <f>263/60</f>
        <v>4.3833333333333337</v>
      </c>
      <c r="C3" s="88">
        <f>261/60</f>
        <v>4.3499999999999996</v>
      </c>
    </row>
    <row r="4" spans="1:18" ht="44" thickBot="1" x14ac:dyDescent="0.4">
      <c r="A4" s="31" t="s">
        <v>72</v>
      </c>
      <c r="B4" s="89">
        <v>0.46</v>
      </c>
      <c r="C4" s="28">
        <v>0.5</v>
      </c>
    </row>
    <row r="5" spans="1:18" ht="15" thickBot="1" x14ac:dyDescent="0.4"/>
    <row r="6" spans="1:18" x14ac:dyDescent="0.35">
      <c r="A6" s="6" t="s">
        <v>23</v>
      </c>
      <c r="B6" s="21" t="s">
        <v>8</v>
      </c>
      <c r="C6" s="22" t="s">
        <v>9</v>
      </c>
    </row>
    <row r="7" spans="1:18" ht="15" thickBot="1" x14ac:dyDescent="0.4">
      <c r="A7" s="15" t="s">
        <v>49</v>
      </c>
      <c r="B7" s="32">
        <v>59.5</v>
      </c>
      <c r="C7" s="33">
        <v>43.5</v>
      </c>
    </row>
    <row r="8" spans="1:18" ht="15" thickBot="1" x14ac:dyDescent="0.4"/>
    <row r="9" spans="1:18" ht="15" thickBot="1" x14ac:dyDescent="0.4">
      <c r="A9" s="29" t="s">
        <v>48</v>
      </c>
      <c r="B9" s="80">
        <v>3.0000000000000001E-3</v>
      </c>
    </row>
    <row r="10" spans="1:18" ht="15" thickBot="1" x14ac:dyDescent="0.4"/>
    <row r="11" spans="1:18" x14ac:dyDescent="0.35">
      <c r="A11" s="6" t="s">
        <v>19</v>
      </c>
      <c r="B11" s="38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</row>
    <row r="12" spans="1:18" ht="15" thickBot="1" x14ac:dyDescent="0.4">
      <c r="A12" s="15" t="s">
        <v>38</v>
      </c>
      <c r="B12" s="81">
        <v>264997.869772423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</row>
    <row r="13" spans="1:18" ht="15" thickBot="1" x14ac:dyDescent="0.4"/>
    <row r="14" spans="1:18" x14ac:dyDescent="0.35">
      <c r="A14" s="12"/>
      <c r="B14" s="21" t="s">
        <v>8</v>
      </c>
      <c r="C14" s="22" t="s">
        <v>9</v>
      </c>
    </row>
    <row r="15" spans="1:18" ht="15" thickBot="1" x14ac:dyDescent="0.4">
      <c r="A15" s="15" t="s">
        <v>37</v>
      </c>
      <c r="B15" s="23">
        <v>0.59</v>
      </c>
      <c r="C15" s="24">
        <v>0.41</v>
      </c>
    </row>
    <row r="16" spans="1:18" ht="15" thickBot="1" x14ac:dyDescent="0.4"/>
    <row r="17" spans="1:18" ht="29.5" thickBot="1" x14ac:dyDescent="0.4">
      <c r="A17" s="16" t="s">
        <v>34</v>
      </c>
      <c r="B17" s="25">
        <v>0.52</v>
      </c>
    </row>
    <row r="18" spans="1:18" ht="15" thickBot="1" x14ac:dyDescent="0.4"/>
    <row r="19" spans="1:18" x14ac:dyDescent="0.35">
      <c r="A19" s="12" t="s">
        <v>46</v>
      </c>
      <c r="B19" s="34">
        <v>0.16600000000000001</v>
      </c>
    </row>
    <row r="20" spans="1:18" ht="15" thickBot="1" x14ac:dyDescent="0.4">
      <c r="A20" s="15" t="s">
        <v>47</v>
      </c>
      <c r="B20" s="24">
        <v>9.5000000000000001E-2</v>
      </c>
    </row>
    <row r="21" spans="1:18" ht="15" thickBot="1" x14ac:dyDescent="0.4"/>
    <row r="22" spans="1:18" x14ac:dyDescent="0.35">
      <c r="A22" s="6" t="s">
        <v>24</v>
      </c>
      <c r="B22" s="22"/>
      <c r="N22"/>
      <c r="O22"/>
      <c r="P22"/>
      <c r="Q22"/>
      <c r="R22"/>
    </row>
    <row r="23" spans="1:18" x14ac:dyDescent="0.35">
      <c r="A23" s="17" t="s">
        <v>52</v>
      </c>
      <c r="B23" s="27">
        <v>0.12404242424242423</v>
      </c>
      <c r="N23"/>
      <c r="O23"/>
      <c r="P23"/>
      <c r="Q23"/>
      <c r="R23"/>
    </row>
    <row r="24" spans="1:18" ht="15" thickBot="1" x14ac:dyDescent="0.4">
      <c r="A24" s="15" t="s">
        <v>53</v>
      </c>
      <c r="B24" s="28">
        <v>0.12929411764705884</v>
      </c>
      <c r="C24" s="26"/>
      <c r="N24"/>
      <c r="O24"/>
      <c r="P24"/>
      <c r="Q24"/>
      <c r="R24"/>
    </row>
    <row r="25" spans="1:18" x14ac:dyDescent="0.35">
      <c r="C25" s="26"/>
      <c r="N25"/>
      <c r="O25"/>
      <c r="P25"/>
      <c r="Q25"/>
      <c r="R25"/>
    </row>
    <row r="26" spans="1:18" x14ac:dyDescent="0.35">
      <c r="N26"/>
      <c r="O26"/>
      <c r="P26"/>
      <c r="Q26"/>
      <c r="R26"/>
    </row>
    <row r="27" spans="1:18" x14ac:dyDescent="0.35">
      <c r="N27"/>
      <c r="O27"/>
      <c r="P27"/>
      <c r="Q27"/>
      <c r="R27"/>
    </row>
    <row r="28" spans="1:18" x14ac:dyDescent="0.35">
      <c r="N28"/>
      <c r="O28"/>
      <c r="P28"/>
      <c r="Q28"/>
      <c r="R28"/>
    </row>
    <row r="29" spans="1:18" x14ac:dyDescent="0.35">
      <c r="N29"/>
      <c r="O29"/>
      <c r="P29"/>
      <c r="Q29"/>
      <c r="R29"/>
    </row>
    <row r="30" spans="1:18" x14ac:dyDescent="0.35">
      <c r="N30"/>
      <c r="O30"/>
      <c r="P30"/>
      <c r="Q30"/>
      <c r="R30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FE527-9CBD-4E4C-8660-3045DE868BA9}">
  <dimension ref="A1:K19"/>
  <sheetViews>
    <sheetView workbookViewId="0">
      <selection activeCell="B4" sqref="B4"/>
    </sheetView>
  </sheetViews>
  <sheetFormatPr defaultRowHeight="14.5" x14ac:dyDescent="0.35"/>
  <cols>
    <col min="1" max="1" width="47.1796875" bestFit="1" customWidth="1"/>
    <col min="2" max="2" width="12.36328125" bestFit="1" customWidth="1"/>
  </cols>
  <sheetData>
    <row r="1" spans="1:3" s="2" customFormat="1" ht="15" thickBot="1" x14ac:dyDescent="0.4">
      <c r="A1" s="1" t="s">
        <v>54</v>
      </c>
    </row>
    <row r="2" spans="1:3" s="2" customFormat="1" ht="15" thickBot="1" x14ac:dyDescent="0.4"/>
    <row r="3" spans="1:3" x14ac:dyDescent="0.35">
      <c r="A3" s="70" t="s">
        <v>0</v>
      </c>
      <c r="B3" s="42">
        <v>52</v>
      </c>
    </row>
    <row r="4" spans="1:3" x14ac:dyDescent="0.35">
      <c r="A4" s="71" t="s">
        <v>1</v>
      </c>
      <c r="B4" s="40">
        <v>5</v>
      </c>
    </row>
    <row r="5" spans="1:3" ht="15" thickBot="1" x14ac:dyDescent="0.4">
      <c r="A5" s="72" t="s">
        <v>2</v>
      </c>
      <c r="B5" s="43">
        <v>260</v>
      </c>
    </row>
    <row r="6" spans="1:3" x14ac:dyDescent="0.35">
      <c r="A6" s="70" t="s">
        <v>62</v>
      </c>
      <c r="B6" s="82">
        <v>11.9375</v>
      </c>
      <c r="C6" t="s">
        <v>64</v>
      </c>
    </row>
    <row r="7" spans="1:3" x14ac:dyDescent="0.35">
      <c r="A7" s="71" t="s">
        <v>63</v>
      </c>
      <c r="B7" s="83">
        <v>20</v>
      </c>
    </row>
    <row r="8" spans="1:3" x14ac:dyDescent="0.35">
      <c r="A8" s="71" t="s">
        <v>67</v>
      </c>
      <c r="B8" s="83">
        <v>10</v>
      </c>
    </row>
    <row r="9" spans="1:3" x14ac:dyDescent="0.35">
      <c r="A9" s="71" t="s">
        <v>7</v>
      </c>
      <c r="B9" s="84">
        <v>5.1441666666666661</v>
      </c>
      <c r="C9" t="s">
        <v>65</v>
      </c>
    </row>
    <row r="10" spans="1:3" ht="15" thickBot="1" x14ac:dyDescent="0.4">
      <c r="A10" s="73" t="s">
        <v>66</v>
      </c>
      <c r="B10" s="85"/>
      <c r="C10" t="s">
        <v>68</v>
      </c>
    </row>
    <row r="11" spans="1:3" x14ac:dyDescent="0.35">
      <c r="A11" s="71" t="s">
        <v>3</v>
      </c>
      <c r="B11" s="39">
        <f t="shared" ref="B11" si="0">B5-SUM(B6:B10)</f>
        <v>212.91833333333335</v>
      </c>
    </row>
    <row r="12" spans="1:3" x14ac:dyDescent="0.35">
      <c r="A12" s="71" t="s">
        <v>4</v>
      </c>
      <c r="B12" s="40">
        <v>7.6</v>
      </c>
    </row>
    <row r="13" spans="1:3" x14ac:dyDescent="0.35">
      <c r="A13" s="71" t="s">
        <v>5</v>
      </c>
      <c r="B13" s="40">
        <v>5</v>
      </c>
    </row>
    <row r="14" spans="1:3" x14ac:dyDescent="0.35">
      <c r="A14" s="71" t="s">
        <v>6</v>
      </c>
      <c r="B14" s="40">
        <f t="shared" ref="B14" si="1">B12*B13</f>
        <v>38</v>
      </c>
    </row>
    <row r="15" spans="1:3" ht="15" thickBot="1" x14ac:dyDescent="0.4">
      <c r="A15" s="74" t="s">
        <v>17</v>
      </c>
      <c r="B15" s="41">
        <f t="shared" ref="B15" si="2">B11*B12</f>
        <v>1618.1793333333335</v>
      </c>
    </row>
    <row r="18" spans="1:11" x14ac:dyDescent="0.35">
      <c r="A18" s="75"/>
    </row>
    <row r="19" spans="1:11" x14ac:dyDescent="0.35">
      <c r="A19" s="1"/>
      <c r="B19" s="2"/>
      <c r="K19" s="2"/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36CB9-7E06-4A92-90C4-623AD1B94B2E}">
  <dimension ref="A1:E4"/>
  <sheetViews>
    <sheetView zoomScale="85" zoomScaleNormal="85" workbookViewId="0">
      <selection activeCell="B18" sqref="B18"/>
    </sheetView>
  </sheetViews>
  <sheetFormatPr defaultRowHeight="14.5" x14ac:dyDescent="0.35"/>
  <cols>
    <col min="1" max="1" width="28.453125" style="10" customWidth="1"/>
    <col min="2" max="3" width="5.453125" bestFit="1" customWidth="1"/>
  </cols>
  <sheetData>
    <row r="1" spans="1:5" x14ac:dyDescent="0.35">
      <c r="A1" s="2" t="s">
        <v>39</v>
      </c>
    </row>
    <row r="2" spans="1:5" ht="15" thickBot="1" x14ac:dyDescent="0.4">
      <c r="A2" s="2"/>
    </row>
    <row r="3" spans="1:5" x14ac:dyDescent="0.35">
      <c r="A3" s="44"/>
      <c r="B3" s="13" t="s">
        <v>8</v>
      </c>
      <c r="C3" s="14" t="s">
        <v>9</v>
      </c>
    </row>
    <row r="4" spans="1:5" ht="15" thickBot="1" x14ac:dyDescent="0.4">
      <c r="A4" s="31" t="s">
        <v>56</v>
      </c>
      <c r="B4" s="45">
        <f>'DATA INPUTS'!B4</f>
        <v>0.46</v>
      </c>
      <c r="C4" s="46">
        <f>'DATA INPUTS'!C4</f>
        <v>0.5</v>
      </c>
      <c r="E4" t="s">
        <v>55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D6C73-8D15-44EC-A67E-CE183F9A6AF9}">
  <dimension ref="A1:C7"/>
  <sheetViews>
    <sheetView zoomScaleNormal="100" workbookViewId="0">
      <selection activeCell="B18" sqref="B18"/>
    </sheetView>
  </sheetViews>
  <sheetFormatPr defaultRowHeight="14.5" x14ac:dyDescent="0.35"/>
  <cols>
    <col min="1" max="1" width="26.54296875" bestFit="1" customWidth="1"/>
  </cols>
  <sheetData>
    <row r="1" spans="1:3" x14ac:dyDescent="0.35">
      <c r="A1" s="2" t="s">
        <v>40</v>
      </c>
    </row>
    <row r="2" spans="1:3" ht="15" thickBot="1" x14ac:dyDescent="0.4">
      <c r="A2" t="s">
        <v>60</v>
      </c>
    </row>
    <row r="3" spans="1:3" x14ac:dyDescent="0.35">
      <c r="A3" s="12"/>
      <c r="B3" s="13" t="s">
        <v>8</v>
      </c>
      <c r="C3" s="14" t="s">
        <v>9</v>
      </c>
    </row>
    <row r="4" spans="1:3" x14ac:dyDescent="0.35">
      <c r="A4" s="17" t="s">
        <v>10</v>
      </c>
      <c r="B4" s="47">
        <f>'DATA INPUTS'!B7</f>
        <v>59.5</v>
      </c>
      <c r="C4" s="48">
        <f>'DATA INPUTS'!C7</f>
        <v>43.5</v>
      </c>
    </row>
    <row r="5" spans="1:3" x14ac:dyDescent="0.35">
      <c r="A5" s="17" t="s">
        <v>12</v>
      </c>
      <c r="B5" s="49">
        <f>B4/100</f>
        <v>0.59499999999999997</v>
      </c>
      <c r="C5" s="50">
        <f>C4/100</f>
        <v>0.435</v>
      </c>
    </row>
    <row r="6" spans="1:3" x14ac:dyDescent="0.35">
      <c r="A6" s="17" t="s">
        <v>13</v>
      </c>
      <c r="B6" s="49">
        <f>1-B5</f>
        <v>0.40500000000000003</v>
      </c>
      <c r="C6" s="50">
        <f>1-C5</f>
        <v>0.56499999999999995</v>
      </c>
    </row>
    <row r="7" spans="1:3" ht="15" thickBot="1" x14ac:dyDescent="0.4">
      <c r="A7" s="15" t="s">
        <v>14</v>
      </c>
      <c r="B7" s="51">
        <f>1/B6</f>
        <v>2.4691358024691357</v>
      </c>
      <c r="C7" s="52">
        <f>1/C6</f>
        <v>1.7699115044247788</v>
      </c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884A7-B5BE-4BBE-854A-8AB26DEBC569}">
  <dimension ref="A1:R4"/>
  <sheetViews>
    <sheetView zoomScaleNormal="100" workbookViewId="0">
      <selection activeCell="B18" sqref="B18"/>
    </sheetView>
  </sheetViews>
  <sheetFormatPr defaultRowHeight="14.5" x14ac:dyDescent="0.35"/>
  <cols>
    <col min="1" max="1" width="43.453125" bestFit="1" customWidth="1"/>
    <col min="2" max="3" width="4.36328125" bestFit="1" customWidth="1"/>
    <col min="4" max="18" width="12.7265625" customWidth="1"/>
  </cols>
  <sheetData>
    <row r="1" spans="1:18" x14ac:dyDescent="0.35">
      <c r="A1" s="2" t="s">
        <v>41</v>
      </c>
    </row>
    <row r="2" spans="1:18" ht="15" thickBot="1" x14ac:dyDescent="0.4">
      <c r="A2" t="s">
        <v>15</v>
      </c>
    </row>
    <row r="3" spans="1:18" x14ac:dyDescent="0.35">
      <c r="A3" s="36"/>
      <c r="B3" s="53" t="s">
        <v>8</v>
      </c>
      <c r="C3" s="11" t="s">
        <v>9</v>
      </c>
      <c r="D3" s="5"/>
      <c r="E3" s="5"/>
      <c r="F3" s="5"/>
      <c r="G3" s="5"/>
      <c r="H3" s="5"/>
      <c r="I3" s="5"/>
      <c r="J3" s="5"/>
      <c r="K3" s="3"/>
      <c r="L3" s="5"/>
      <c r="M3" s="5"/>
      <c r="N3" s="3"/>
      <c r="O3" s="5"/>
      <c r="P3" s="5"/>
      <c r="Q3" s="5"/>
      <c r="R3" s="5"/>
    </row>
    <row r="4" spans="1:18" ht="15" thickBot="1" x14ac:dyDescent="0.4">
      <c r="A4" s="15" t="s">
        <v>16</v>
      </c>
      <c r="B4" s="51">
        <f>'DATA INPUTS'!B23</f>
        <v>0.12404242424242423</v>
      </c>
      <c r="C4" s="52">
        <f>'DATA INPUTS'!B24</f>
        <v>0.12929411764705884</v>
      </c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F2E19-6C70-4CA7-A5D8-62542505E03C}">
  <dimension ref="A1:R11"/>
  <sheetViews>
    <sheetView zoomScaleNormal="100" workbookViewId="0">
      <selection activeCell="B10" sqref="B10"/>
    </sheetView>
  </sheetViews>
  <sheetFormatPr defaultRowHeight="14.5" x14ac:dyDescent="0.35"/>
  <cols>
    <col min="1" max="1" width="37.36328125" bestFit="1" customWidth="1"/>
    <col min="2" max="3" width="6.36328125" bestFit="1" customWidth="1"/>
  </cols>
  <sheetData>
    <row r="1" spans="1:18" x14ac:dyDescent="0.35">
      <c r="A1" s="2" t="s">
        <v>22</v>
      </c>
      <c r="B1" s="3"/>
      <c r="C1" s="5"/>
      <c r="D1" s="5"/>
      <c r="E1" s="5"/>
      <c r="F1" s="5"/>
      <c r="G1" s="5"/>
      <c r="H1" s="5"/>
      <c r="I1" s="5"/>
      <c r="J1" s="5"/>
      <c r="K1" s="3"/>
      <c r="L1" s="5"/>
      <c r="M1" s="5"/>
      <c r="N1" s="3"/>
      <c r="O1" s="5"/>
      <c r="P1" s="5"/>
      <c r="Q1" s="5"/>
      <c r="R1" s="5"/>
    </row>
    <row r="2" spans="1:18" ht="15" thickBot="1" x14ac:dyDescent="0.4">
      <c r="A2" t="s">
        <v>61</v>
      </c>
      <c r="B2" s="4"/>
      <c r="C2" s="5"/>
      <c r="D2" s="5"/>
      <c r="E2" s="5"/>
      <c r="F2" s="5"/>
      <c r="G2" s="5"/>
      <c r="H2" s="5"/>
      <c r="I2" s="5"/>
      <c r="J2" s="5"/>
      <c r="K2" s="4"/>
      <c r="L2" s="5"/>
      <c r="M2" s="5"/>
      <c r="N2" s="4"/>
      <c r="O2" s="5"/>
      <c r="P2" s="5"/>
      <c r="Q2" s="5"/>
      <c r="R2" s="5"/>
    </row>
    <row r="3" spans="1:18" x14ac:dyDescent="0.35">
      <c r="A3" s="12" t="s">
        <v>57</v>
      </c>
      <c r="B3" s="13" t="s">
        <v>8</v>
      </c>
      <c r="C3" s="14" t="s">
        <v>9</v>
      </c>
    </row>
    <row r="4" spans="1:18" ht="15" thickBot="1" x14ac:dyDescent="0.4">
      <c r="A4" s="15" t="s">
        <v>11</v>
      </c>
      <c r="B4" s="18">
        <f>'AVAILABLE WORKING TIME'!B15/'DATA INPUTS'!B3</f>
        <v>369.16638783269963</v>
      </c>
      <c r="C4" s="54">
        <f>'AVAILABLE WORKING TIME'!B15/'DATA INPUTS'!C3</f>
        <v>371.99524904214564</v>
      </c>
    </row>
    <row r="5" spans="1:18" ht="15" thickBot="1" x14ac:dyDescent="0.4"/>
    <row r="6" spans="1:18" x14ac:dyDescent="0.35">
      <c r="A6" s="36" t="s">
        <v>73</v>
      </c>
      <c r="B6" s="90" t="s">
        <v>8</v>
      </c>
      <c r="C6" s="91" t="s">
        <v>9</v>
      </c>
    </row>
    <row r="7" spans="1:18" x14ac:dyDescent="0.35">
      <c r="A7" s="17" t="s">
        <v>74</v>
      </c>
      <c r="B7" s="92">
        <f>'[1]Available Working Time'!$C$15</f>
        <v>1618.1793333333335</v>
      </c>
      <c r="C7" s="93">
        <f>'[1]Available Working Time'!$C$15</f>
        <v>1618.1793333333335</v>
      </c>
    </row>
    <row r="8" spans="1:18" x14ac:dyDescent="0.35">
      <c r="A8" s="17" t="s">
        <v>58</v>
      </c>
      <c r="B8" s="94">
        <f>'DATA INPUTS'!B4</f>
        <v>0.46</v>
      </c>
      <c r="C8" s="95">
        <f>'DATA INPUTS'!C4</f>
        <v>0.5</v>
      </c>
    </row>
    <row r="9" spans="1:18" x14ac:dyDescent="0.35">
      <c r="A9" s="17" t="s">
        <v>75</v>
      </c>
      <c r="B9" s="92">
        <f>B7*B8</f>
        <v>744.36249333333342</v>
      </c>
      <c r="C9" s="93">
        <f>C7*C8</f>
        <v>809.08966666666674</v>
      </c>
    </row>
    <row r="10" spans="1:18" x14ac:dyDescent="0.35">
      <c r="A10" s="17" t="s">
        <v>76</v>
      </c>
      <c r="B10" s="92">
        <f>B9/'DATA INPUTS'!B3</f>
        <v>169.81653840304182</v>
      </c>
      <c r="C10" s="93">
        <f>C9/'DATA INPUTS'!C3</f>
        <v>185.99762452107282</v>
      </c>
    </row>
    <row r="11" spans="1:18" ht="15" thickBot="1" x14ac:dyDescent="0.4">
      <c r="A11" s="15" t="s">
        <v>77</v>
      </c>
      <c r="B11" s="18">
        <f>B10/46</f>
        <v>3.6916638783269962</v>
      </c>
      <c r="C11" s="54">
        <f>C10/46</f>
        <v>4.0434266200233226</v>
      </c>
    </row>
  </sheetData>
  <sheetProtection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15BDF-EFB4-46A9-BEC8-E2049BF83A23}">
  <dimension ref="A1:B13"/>
  <sheetViews>
    <sheetView zoomScale="64" workbookViewId="0">
      <selection activeCell="B18" sqref="B18"/>
    </sheetView>
  </sheetViews>
  <sheetFormatPr defaultRowHeight="14.5" x14ac:dyDescent="0.35"/>
  <cols>
    <col min="1" max="1" width="27.7265625" bestFit="1" customWidth="1"/>
    <col min="2" max="2" width="9.453125" bestFit="1" customWidth="1"/>
  </cols>
  <sheetData>
    <row r="1" spans="1:2" x14ac:dyDescent="0.35">
      <c r="A1" s="2" t="s">
        <v>35</v>
      </c>
    </row>
    <row r="2" spans="1:2" ht="15" thickBot="1" x14ac:dyDescent="0.4"/>
    <row r="3" spans="1:2" x14ac:dyDescent="0.35">
      <c r="A3" s="6" t="s">
        <v>18</v>
      </c>
      <c r="B3" s="8"/>
    </row>
    <row r="4" spans="1:2" x14ac:dyDescent="0.35">
      <c r="A4" s="17" t="s">
        <v>21</v>
      </c>
      <c r="B4" s="55">
        <f>'DATA INPUTS'!B12*'DATA INPUTS'!$C$15</f>
        <v>108649.12660669342</v>
      </c>
    </row>
    <row r="5" spans="1:2" x14ac:dyDescent="0.35">
      <c r="A5" s="17" t="s">
        <v>30</v>
      </c>
      <c r="B5" s="58">
        <f>B4/'Standard Workloads'!$C$4</f>
        <v>292.07127479841517</v>
      </c>
    </row>
    <row r="6" spans="1:2" x14ac:dyDescent="0.35">
      <c r="A6" s="17"/>
      <c r="B6" s="56"/>
    </row>
    <row r="7" spans="1:2" x14ac:dyDescent="0.35">
      <c r="A7" s="7" t="s">
        <v>23</v>
      </c>
      <c r="B7" s="56"/>
    </row>
    <row r="8" spans="1:2" x14ac:dyDescent="0.35">
      <c r="A8" s="17" t="s">
        <v>43</v>
      </c>
      <c r="B8" s="57">
        <f>B5*'Category Allowance Standards'!$C$7</f>
        <v>516.94030937772595</v>
      </c>
    </row>
    <row r="9" spans="1:2" x14ac:dyDescent="0.35">
      <c r="A9" s="17"/>
      <c r="B9" s="56"/>
    </row>
    <row r="10" spans="1:2" x14ac:dyDescent="0.35">
      <c r="A10" s="7" t="s">
        <v>24</v>
      </c>
      <c r="B10" s="56"/>
    </row>
    <row r="11" spans="1:2" x14ac:dyDescent="0.35">
      <c r="A11" s="17" t="s">
        <v>45</v>
      </c>
      <c r="B11" s="57">
        <f>B8*'Individual Allowance Standards'!$C$4</f>
        <v>66.837341177190694</v>
      </c>
    </row>
    <row r="12" spans="1:2" ht="15" thickBot="1" x14ac:dyDescent="0.4">
      <c r="A12" s="17"/>
      <c r="B12" s="56"/>
    </row>
    <row r="13" spans="1:2" ht="15" thickBot="1" x14ac:dyDescent="0.4">
      <c r="A13" s="29" t="s">
        <v>32</v>
      </c>
      <c r="B13" s="64">
        <f>(B8+B11)</f>
        <v>583.77765055491659</v>
      </c>
    </row>
  </sheetData>
  <sheetProtection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818C0-45AA-4BCC-A7D9-74ED991F24A5}">
  <dimension ref="A1:B13"/>
  <sheetViews>
    <sheetView zoomScale="64" workbookViewId="0">
      <selection activeCell="B18" sqref="B18"/>
    </sheetView>
  </sheetViews>
  <sheetFormatPr defaultRowHeight="14.5" x14ac:dyDescent="0.35"/>
  <cols>
    <col min="1" max="1" width="27.7265625" bestFit="1" customWidth="1"/>
    <col min="2" max="2" width="9.453125" bestFit="1" customWidth="1"/>
  </cols>
  <sheetData>
    <row r="1" spans="1:2" x14ac:dyDescent="0.35">
      <c r="A1" s="2" t="s">
        <v>35</v>
      </c>
    </row>
    <row r="2" spans="1:2" ht="15" thickBot="1" x14ac:dyDescent="0.4"/>
    <row r="3" spans="1:2" x14ac:dyDescent="0.35">
      <c r="A3" s="6" t="s">
        <v>18</v>
      </c>
      <c r="B3" s="8"/>
    </row>
    <row r="4" spans="1:2" x14ac:dyDescent="0.35">
      <c r="A4" s="17" t="s">
        <v>20</v>
      </c>
      <c r="B4" s="55">
        <f>'DATA INPUTS'!B12*'DATA INPUTS'!$B$15</f>
        <v>156348.74316572957</v>
      </c>
    </row>
    <row r="5" spans="1:2" x14ac:dyDescent="0.35">
      <c r="A5" s="17" t="s">
        <v>29</v>
      </c>
      <c r="B5" s="58">
        <f>B4/'Standard Workloads'!$B$4</f>
        <v>423.51836006420052</v>
      </c>
    </row>
    <row r="6" spans="1:2" x14ac:dyDescent="0.35">
      <c r="A6" s="17"/>
      <c r="B6" s="56"/>
    </row>
    <row r="7" spans="1:2" x14ac:dyDescent="0.35">
      <c r="A7" s="7" t="s">
        <v>23</v>
      </c>
      <c r="B7" s="56"/>
    </row>
    <row r="8" spans="1:2" x14ac:dyDescent="0.35">
      <c r="A8" s="17" t="s">
        <v>42</v>
      </c>
      <c r="B8" s="57">
        <f>B5*'Category Allowance Standards'!$B$7</f>
        <v>1045.7243458375322</v>
      </c>
    </row>
    <row r="9" spans="1:2" x14ac:dyDescent="0.35">
      <c r="A9" s="17"/>
      <c r="B9" s="56"/>
    </row>
    <row r="10" spans="1:2" x14ac:dyDescent="0.35">
      <c r="A10" s="7" t="s">
        <v>24</v>
      </c>
      <c r="B10" s="56"/>
    </row>
    <row r="11" spans="1:2" x14ac:dyDescent="0.35">
      <c r="A11" s="17" t="s">
        <v>44</v>
      </c>
      <c r="B11" s="57">
        <f>B8*'Individual Allowance Standards'!$B$4</f>
        <v>129.71418294701073</v>
      </c>
    </row>
    <row r="12" spans="1:2" ht="15" thickBot="1" x14ac:dyDescent="0.4">
      <c r="A12" s="17"/>
      <c r="B12" s="56"/>
    </row>
    <row r="13" spans="1:2" ht="15" thickBot="1" x14ac:dyDescent="0.4">
      <c r="A13" s="29" t="s">
        <v>31</v>
      </c>
      <c r="B13" s="64">
        <f>SUM(B8+B11)</f>
        <v>1175.438528784543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DASHBOARD</vt:lpstr>
      <vt:lpstr>DATA INPUTS</vt:lpstr>
      <vt:lpstr>AVAILABLE WORKING TIME</vt:lpstr>
      <vt:lpstr>Service Activity Standards</vt:lpstr>
      <vt:lpstr>Category Allowance Standards</vt:lpstr>
      <vt:lpstr>Individual Allowance Standards</vt:lpstr>
      <vt:lpstr>Standard Workloads</vt:lpstr>
      <vt:lpstr>CG Staff Requirements</vt:lpstr>
      <vt:lpstr>GC Staff Requirements</vt:lpstr>
      <vt:lpstr>Admin Staff Requirements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Pearn | The Gene Council</dc:creator>
  <cp:lastModifiedBy>Amy Pearn | The Gene Council</cp:lastModifiedBy>
  <dcterms:created xsi:type="dcterms:W3CDTF">2023-11-15T09:11:45Z</dcterms:created>
  <dcterms:modified xsi:type="dcterms:W3CDTF">2024-01-31T07:21:03Z</dcterms:modified>
</cp:coreProperties>
</file>